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9040" windowHeight="15840" tabRatio="466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<sst xmlns="http://schemas.openxmlformats.org/spreadsheetml/2006/main" count="57" uniqueCount="51">
  <si>
    <t>BRAKE SYSTEM CALCULATOR</t>
  </si>
  <si>
    <t>Vehicle Data</t>
  </si>
  <si>
    <t>Front</t>
  </si>
  <si>
    <t>Rear</t>
  </si>
  <si>
    <t>Static Weight (lb)</t>
  </si>
  <si>
    <t>Static Weight Bias</t>
  </si>
  <si>
    <t>Total Weight (lb)</t>
  </si>
  <si>
    <t>Center Of Gravity Height (in)</t>
  </si>
  <si>
    <t>Wheel Base (in)</t>
  </si>
  <si>
    <t>Front Bias Optimal</t>
  </si>
  <si>
    <t>Brake System Data</t>
  </si>
  <si>
    <t>Front Bias</t>
  </si>
  <si>
    <t>F Bias vs Optimal</t>
  </si>
  <si>
    <t>Rotor Diameter (in)</t>
  </si>
  <si>
    <t>Pad Height (in)</t>
  </si>
  <si>
    <t>Pad Coefficient of Friction</t>
  </si>
  <si>
    <t>Turbo</t>
  </si>
  <si>
    <t>NA</t>
  </si>
  <si>
    <t>Adjustable</t>
  </si>
  <si>
    <t>Proportioning Valve Data</t>
  </si>
  <si>
    <t>Valve Type (select from drop down)</t>
  </si>
  <si>
    <t>Brake Torque Calculation</t>
  </si>
  <si>
    <t>Safe Range</t>
  </si>
  <si>
    <t>Adjustable Slope</t>
  </si>
  <si>
    <t xml:space="preserve">Front Pressure (psi) </t>
  </si>
  <si>
    <t>Rear Pressure (psi)</t>
  </si>
  <si>
    <t>Front Torque 
(in-lb)</t>
  </si>
  <si>
    <t>Rear Torque 
(in-lb)</t>
  </si>
  <si>
    <t>R Torque Required 
(in-lb)</t>
  </si>
  <si>
    <t>F Torque Required
 (in-lb)</t>
  </si>
  <si>
    <t>Caliper Piston #1 Dia (in)</t>
  </si>
  <si>
    <t>Caliper Piston #2 Dia (in)</t>
  </si>
  <si>
    <t>Caliper Piston #3 Dia (in)</t>
  </si>
  <si>
    <t>Tire Diameter (in)</t>
  </si>
  <si>
    <t>Tire Width</t>
  </si>
  <si>
    <t>Tire Aspect Ratio</t>
  </si>
  <si>
    <t>Wheel Diameter</t>
  </si>
  <si>
    <t>Knee Point (psi)</t>
  </si>
  <si>
    <t>Slope</t>
  </si>
  <si>
    <t>Adjustable Knee Point (psi)</t>
  </si>
  <si>
    <t>Total Piston Area (in^2)</t>
  </si>
  <si>
    <t>Optimal Range</t>
  </si>
  <si>
    <r>
      <t xml:space="preserve">©2020 Wilhelm Raceworks, LLC
Instructions:
</t>
    </r>
    <r>
      <rPr>
        <sz val="8"/>
        <color indexed="8"/>
        <rFont val="Segoe UI"/>
        <family val="2"/>
      </rPr>
      <t xml:space="preserve">-Edit blue cells to setup vehicle and brake system data.  All inputs in inches / pounds. Red cells are output
-Turn on iterative calculations in options.  
  Suggested settings: 
  Max Iterations = 500
  Max change = .1
-May have to press F9 a few times to re-calculate. </t>
    </r>
  </si>
  <si>
    <t>Decel (g)</t>
  </si>
  <si>
    <t>Dynamic F Weight (lb)</t>
  </si>
  <si>
    <t>Dynamic R Weight (lb)</t>
  </si>
  <si>
    <t>Turns</t>
  </si>
  <si>
    <t>Knee Point</t>
  </si>
  <si>
    <t>Wilwood PV Average</t>
  </si>
  <si>
    <t>Valve Type Drop Down</t>
  </si>
  <si>
    <t>Wilwood Valve Setting (# of Turns)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</si>
</sst>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i/>
      <u val="single"/>
      <sz val="18"/>
      <name val="Arial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6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4" fillId="36" borderId="13" xfId="0" applyFont="1" applyFill="1" applyBorder="1" applyAlignment="1" applyProtection="1">
      <alignment/>
      <protection/>
    </xf>
    <xf numFmtId="1" fontId="10" fillId="36" borderId="13" xfId="0" applyNumberFormat="1" applyFont="1" applyFill="1" applyBorder="1" applyAlignment="1" applyProtection="1">
      <alignment/>
      <protection/>
    </xf>
    <xf numFmtId="9" fontId="10" fillId="36" borderId="13" xfId="0" applyNumberFormat="1" applyFont="1" applyFill="1" applyBorder="1" applyAlignment="1" applyProtection="1">
      <alignment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1" fontId="10" fillId="36" borderId="13" xfId="0" applyNumberFormat="1" applyFont="1" applyFill="1" applyBorder="1" applyAlignment="1" applyProtection="1">
      <alignment horizontal="right"/>
      <protection/>
    </xf>
    <xf numFmtId="9" fontId="14" fillId="36" borderId="1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 locked="0"/>
    </xf>
    <xf numFmtId="9" fontId="10" fillId="0" borderId="13" xfId="0" applyNumberFormat="1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 locked="0"/>
    </xf>
    <xf numFmtId="2" fontId="10" fillId="0" borderId="13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9" fillId="37" borderId="13" xfId="0" applyNumberFormat="1" applyFont="1" applyFill="1" applyBorder="1" applyAlignment="1" applyProtection="1">
      <alignment horizontal="right"/>
      <protection locked="0"/>
    </xf>
    <xf numFmtId="164" fontId="10" fillId="0" borderId="13" xfId="0" applyNumberFormat="1" applyFont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9" fontId="8" fillId="0" borderId="13" xfId="58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 locked="0"/>
    </xf>
    <xf numFmtId="0" fontId="54" fillId="0" borderId="16" xfId="0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/>
      <protection locked="0"/>
    </xf>
    <xf numFmtId="0" fontId="54" fillId="0" borderId="13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Good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Untitled1" xfId="61"/>
    <cellStyle name="Untitled2" xfId="62"/>
    <cellStyle name="Warning Text" xfId="63"/>
  </cellStyles>
  <dxfs count="2">
    <dxf>
      <fill>
        <patternFill patternType="solid">
          <fgColor indexed="53"/>
          <bgColor indexed="10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Brake Bias Graph</a:t>
            </a:r>
          </a:p>
        </c:rich>
      </c:tx>
      <c:layout>
        <c:manualLayout>
          <c:xMode val="factor"/>
          <c:yMode val="factor"/>
          <c:x val="0.01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475"/>
          <c:w val="0.951"/>
          <c:h val="0.927"/>
        </c:manualLayout>
      </c:layout>
      <c:areaChart>
        <c:grouping val="standard"/>
        <c:varyColors val="0"/>
        <c:ser>
          <c:idx val="2"/>
          <c:order val="0"/>
          <c:tx>
            <c:v>Too Much Front Bias</c:v>
          </c:tx>
          <c:spPr>
            <a:noFill/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Sheet1!$O$48:$O$58</c:f>
            </c:numRef>
          </c:val>
        </c:ser>
        <c:ser>
          <c:idx val="3"/>
          <c:order val="2"/>
          <c:tx>
            <c:v>Optimal Range</c:v>
          </c:tx>
          <c:spPr>
            <a:solidFill>
              <a:srgbClr val="548235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Sheet1!$N$48:$N$58</c:f>
            </c:numRef>
          </c:val>
        </c:ser>
        <c:ser>
          <c:idx val="0"/>
          <c:order val="3"/>
          <c:tx>
            <c:v>Too Much Rear Bias</c:v>
          </c:tx>
          <c:spPr>
            <a:solidFill>
              <a:srgbClr val="ED7D31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Sheet1!$B$48:$B$58</c:f>
              <c:numCache/>
            </c:numRef>
          </c:cat>
          <c:val>
            <c:numRef>
              <c:f>Sheet1!$G$48:$G$58</c:f>
              <c:numCache/>
            </c:numRef>
          </c:val>
        </c:ser>
        <c:axId val="24991710"/>
        <c:axId val="23598799"/>
      </c:areaChart>
      <c:lineChart>
        <c:grouping val="standard"/>
        <c:varyColors val="0"/>
        <c:ser>
          <c:idx val="4"/>
          <c:order val="1"/>
          <c:tx>
            <c:v>Optimal Bias</c:v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Sheet1!$G$48:$G$58</c:f>
              <c:numCache/>
            </c:numRef>
          </c:val>
          <c:smooth val="0"/>
        </c:ser>
        <c:ser>
          <c:idx val="1"/>
          <c:order val="4"/>
          <c:tx>
            <c:v>Brake Bias for This System</c:v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Sheet1!$B$48:$B$58</c:f>
              <c:numCache/>
            </c:numRef>
          </c:cat>
          <c:val>
            <c:numRef>
              <c:f>Sheet1!$L$48:$L$58</c:f>
              <c:numCache/>
            </c:numRef>
          </c:val>
          <c:smooth val="0"/>
        </c:ser>
        <c:axId val="24991710"/>
        <c:axId val="23598799"/>
      </c:lineChart>
      <c:catAx>
        <c:axId val="2499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Deceleration Rate (g)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At val="0"/>
        <c:auto val="1"/>
        <c:lblOffset val="100"/>
        <c:tickLblSkip val="1"/>
        <c:noMultiLvlLbl val="0"/>
      </c:catAx>
      <c:valAx>
        <c:axId val="23598799"/>
        <c:scaling>
          <c:orientation val="minMax"/>
          <c:max val="0.7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Forward Bias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71"/>
          <c:y val="0.71825"/>
          <c:w val="0.25625"/>
          <c:h val="0.16375"/>
        </c:manualLayout>
      </c:layout>
      <c:overlay val="0"/>
      <c:spPr>
        <a:solidFill>
          <a:srgbClr val="FFFFFF"/>
        </a:solidFill>
        <a:ln w="3175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Line Pressure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4775"/>
          <c:w val="0.97"/>
          <c:h val="0.92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Sheet1!$I$47</c:f>
              <c:strCache>
                <c:ptCount val="1"/>
                <c:pt idx="0">
                  <c:v>Rear Pressure (psi)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420E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Sheet1!$B$48:$B$58</c:f>
              <c:numCache/>
            </c:numRef>
          </c:xVal>
          <c:yVal>
            <c:numRef>
              <c:f>Sheet1!$I$48:$I$58</c:f>
              <c:numCache/>
            </c:numRef>
          </c:yVal>
          <c:smooth val="1"/>
        </c:ser>
        <c:ser>
          <c:idx val="0"/>
          <c:order val="1"/>
          <c:tx>
            <c:strRef>
              <c:f>Sheet1!$H$47</c:f>
              <c:strCache>
                <c:ptCount val="1"/>
                <c:pt idx="0">
                  <c:v>Front Pressure (psi)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Sheet1!$B$48:$B$58</c:f>
              <c:numCache/>
            </c:numRef>
          </c:xVal>
          <c:yVal>
            <c:numRef>
              <c:f>Sheet1!$H$48:$H$58</c:f>
              <c:numCache/>
            </c:numRef>
          </c:yVal>
          <c:smooth val="1"/>
        </c:ser>
        <c:axId val="11062600"/>
        <c:axId val="32454537"/>
      </c:scatterChart>
      <c:valAx>
        <c:axId val="11062600"/>
        <c:scaling>
          <c:orientation val="minMax"/>
          <c:max val="1.4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Deceleration Rate (g)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crossBetween val="midCat"/>
        <c:dispUnits/>
      </c:valAx>
      <c:valAx>
        <c:axId val="32454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Line Pressure (psi)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7925"/>
          <c:w val="0.18575"/>
          <c:h val="0.0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10</xdr:row>
      <xdr:rowOff>76200</xdr:rowOff>
    </xdr:from>
    <xdr:to>
      <xdr:col>23</xdr:col>
      <xdr:colOff>542925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4171950" y="2171700"/>
        <a:ext cx="93440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59</xdr:row>
      <xdr:rowOff>19050</xdr:rowOff>
    </xdr:from>
    <xdr:to>
      <xdr:col>23</xdr:col>
      <xdr:colOff>571500</xdr:colOff>
      <xdr:row>92</xdr:row>
      <xdr:rowOff>38100</xdr:rowOff>
    </xdr:to>
    <xdr:graphicFrame>
      <xdr:nvGraphicFramePr>
        <xdr:cNvPr id="2" name="Chart 1"/>
        <xdr:cNvGraphicFramePr/>
      </xdr:nvGraphicFramePr>
      <xdr:xfrm>
        <a:off x="4181475" y="11649075"/>
        <a:ext cx="93630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V49" sqref="V49"/>
    </sheetView>
  </sheetViews>
  <sheetFormatPr defaultColWidth="9.00390625" defaultRowHeight="12.75"/>
  <cols>
    <col min="1" max="1" width="40.7109375" style="1" customWidth="1"/>
    <col min="2" max="2" width="9.00390625" style="1" customWidth="1"/>
    <col min="3" max="3" width="10.7109375" style="1" customWidth="1"/>
    <col min="4" max="4" width="9.28125" style="1" customWidth="1"/>
    <col min="5" max="5" width="13.140625" style="1" customWidth="1"/>
    <col min="6" max="6" width="13.28125" style="1" customWidth="1"/>
    <col min="7" max="7" width="10.28125" style="1" customWidth="1"/>
    <col min="8" max="8" width="11.28125" style="1" customWidth="1"/>
    <col min="9" max="9" width="10.8515625" style="1" customWidth="1"/>
    <col min="10" max="10" width="9.57421875" style="1" customWidth="1"/>
    <col min="11" max="11" width="10.140625" style="1" customWidth="1"/>
    <col min="12" max="12" width="9.421875" style="1" customWidth="1"/>
    <col min="13" max="13" width="9.8515625" style="1" customWidth="1"/>
    <col min="14" max="16" width="9.00390625" style="1" hidden="1" customWidth="1"/>
    <col min="17" max="17" width="10.00390625" style="1" hidden="1" customWidth="1"/>
    <col min="18" max="20" width="9.00390625" style="1" hidden="1" customWidth="1"/>
    <col min="21" max="16384" width="9.00390625" style="1" customWidth="1"/>
  </cols>
  <sheetData>
    <row r="1" spans="1:12" ht="24" customHeight="1">
      <c r="A1" s="2" t="s">
        <v>0</v>
      </c>
      <c r="B1" s="3"/>
      <c r="C1" s="3"/>
      <c r="D1" s="3"/>
      <c r="E1" s="3"/>
      <c r="F1" s="11"/>
      <c r="G1" s="11"/>
      <c r="H1" s="11"/>
      <c r="I1" s="11"/>
      <c r="J1" s="11"/>
      <c r="K1" s="11"/>
      <c r="L1" s="11"/>
    </row>
    <row r="2" spans="1:12" ht="15.75" customHeight="1">
      <c r="A2" s="44" t="s">
        <v>42</v>
      </c>
      <c r="B2" s="44"/>
      <c r="C2" s="44"/>
      <c r="D2" s="44"/>
      <c r="E2" s="44"/>
      <c r="F2" s="12"/>
      <c r="G2" s="11"/>
      <c r="H2" s="11"/>
      <c r="I2" s="11"/>
      <c r="J2" s="11"/>
      <c r="K2" s="11"/>
      <c r="L2" s="11"/>
    </row>
    <row r="3" spans="1:12" ht="15.75" customHeight="1">
      <c r="A3" s="44"/>
      <c r="B3" s="44"/>
      <c r="C3" s="44"/>
      <c r="D3" s="44"/>
      <c r="E3" s="44"/>
      <c r="F3" s="12"/>
      <c r="G3" s="11"/>
      <c r="H3" s="11"/>
      <c r="I3" s="11"/>
      <c r="J3" s="11"/>
      <c r="K3" s="11"/>
      <c r="L3" s="11"/>
    </row>
    <row r="4" spans="1:12" ht="15.75" customHeight="1">
      <c r="A4" s="44"/>
      <c r="B4" s="44"/>
      <c r="C4" s="44"/>
      <c r="D4" s="44"/>
      <c r="E4" s="44"/>
      <c r="F4" s="12"/>
      <c r="G4" s="11"/>
      <c r="H4" s="11"/>
      <c r="I4" s="11"/>
      <c r="J4" s="11"/>
      <c r="K4" s="11"/>
      <c r="L4" s="11"/>
    </row>
    <row r="5" spans="1:12" ht="15.75" customHeight="1">
      <c r="A5" s="44"/>
      <c r="B5" s="44"/>
      <c r="C5" s="44"/>
      <c r="D5" s="44"/>
      <c r="E5" s="44"/>
      <c r="F5" s="12"/>
      <c r="G5" s="11"/>
      <c r="H5" s="11"/>
      <c r="I5" s="11"/>
      <c r="J5" s="11"/>
      <c r="K5" s="11"/>
      <c r="L5" s="11"/>
    </row>
    <row r="6" spans="1:12" ht="15.75" customHeight="1">
      <c r="A6" s="44"/>
      <c r="B6" s="44"/>
      <c r="C6" s="44"/>
      <c r="D6" s="44"/>
      <c r="E6" s="44"/>
      <c r="F6" s="12"/>
      <c r="G6" s="11"/>
      <c r="H6" s="11"/>
      <c r="I6" s="11"/>
      <c r="J6" s="11"/>
      <c r="K6" s="11"/>
      <c r="L6" s="11"/>
    </row>
    <row r="7" spans="1:12" ht="15.75" customHeight="1">
      <c r="A7" s="44"/>
      <c r="B7" s="44"/>
      <c r="C7" s="44"/>
      <c r="D7" s="44"/>
      <c r="E7" s="44"/>
      <c r="F7" s="12"/>
      <c r="G7" s="11"/>
      <c r="H7" s="11"/>
      <c r="I7" s="11"/>
      <c r="J7" s="11"/>
      <c r="K7" s="11"/>
      <c r="L7" s="11"/>
    </row>
    <row r="8" spans="1:12" ht="15.75" customHeight="1">
      <c r="A8" s="44"/>
      <c r="B8" s="44"/>
      <c r="C8" s="44"/>
      <c r="D8" s="44"/>
      <c r="E8" s="44"/>
      <c r="F8" s="12"/>
      <c r="G8" s="11"/>
      <c r="H8" s="11"/>
      <c r="I8" s="11"/>
      <c r="J8" s="11"/>
      <c r="K8" s="11"/>
      <c r="L8" s="11"/>
    </row>
    <row r="9" spans="1:6" ht="15.75" customHeight="1">
      <c r="A9" s="44"/>
      <c r="B9" s="44"/>
      <c r="C9" s="44"/>
      <c r="D9" s="44"/>
      <c r="E9" s="44"/>
      <c r="F9" s="12"/>
    </row>
    <row r="10" spans="1:6" ht="15" customHeight="1">
      <c r="A10" s="44"/>
      <c r="B10" s="44"/>
      <c r="C10" s="44"/>
      <c r="D10" s="44"/>
      <c r="E10" s="44"/>
      <c r="F10" s="12"/>
    </row>
    <row r="11" spans="1:5" ht="15.75" customHeight="1">
      <c r="A11" s="22"/>
      <c r="B11" s="22"/>
      <c r="C11" s="22"/>
      <c r="D11" s="22"/>
      <c r="E11" s="22"/>
    </row>
    <row r="12" spans="1:5" ht="15.75" customHeight="1">
      <c r="A12" s="4" t="s">
        <v>1</v>
      </c>
      <c r="B12" s="3"/>
      <c r="C12" s="3"/>
      <c r="D12" s="3"/>
      <c r="E12" s="3"/>
    </row>
    <row r="13" spans="1:4" ht="15.75" customHeight="1">
      <c r="A13" s="4"/>
      <c r="B13" s="23" t="s">
        <v>2</v>
      </c>
      <c r="C13" s="23" t="s">
        <v>3</v>
      </c>
      <c r="D13" s="3"/>
    </row>
    <row r="14" spans="1:5" ht="15.75" customHeight="1">
      <c r="A14" s="24" t="s">
        <v>4</v>
      </c>
      <c r="B14" s="25">
        <v>1260</v>
      </c>
      <c r="C14" s="25">
        <v>1740</v>
      </c>
      <c r="D14" s="3"/>
      <c r="E14" s="3"/>
    </row>
    <row r="15" spans="1:5" ht="15.75" customHeight="1">
      <c r="A15" s="24" t="s">
        <v>5</v>
      </c>
      <c r="B15" s="26">
        <f>B14/B16</f>
        <v>0.42</v>
      </c>
      <c r="C15" s="26">
        <f>C14/B16</f>
        <v>0.58</v>
      </c>
      <c r="D15" s="3"/>
      <c r="E15" s="3"/>
    </row>
    <row r="16" spans="1:5" ht="15.75" customHeight="1">
      <c r="A16" s="6" t="s">
        <v>6</v>
      </c>
      <c r="B16" s="7">
        <f>SUM(B14+C14)</f>
        <v>3000</v>
      </c>
      <c r="C16" s="3"/>
      <c r="D16" s="3"/>
      <c r="E16" s="3"/>
    </row>
    <row r="17" spans="1:19" ht="15.75" customHeight="1">
      <c r="A17" s="5" t="s">
        <v>7</v>
      </c>
      <c r="B17" s="8">
        <v>18</v>
      </c>
      <c r="C17" s="3"/>
      <c r="D17" s="3"/>
      <c r="S17" s="37" t="s">
        <v>49</v>
      </c>
    </row>
    <row r="18" spans="1:19" ht="15.75" customHeight="1">
      <c r="A18" s="5" t="s">
        <v>8</v>
      </c>
      <c r="B18" s="8">
        <v>94.5</v>
      </c>
      <c r="C18" s="3"/>
      <c r="D18" s="3"/>
      <c r="S18" s="35" t="s">
        <v>16</v>
      </c>
    </row>
    <row r="19" spans="1:19" ht="15.75" customHeight="1">
      <c r="A19" s="4"/>
      <c r="B19" s="9"/>
      <c r="C19" s="9"/>
      <c r="D19" s="3"/>
      <c r="S19" s="35" t="s">
        <v>17</v>
      </c>
    </row>
    <row r="20" spans="1:19" ht="15.75" customHeight="1">
      <c r="A20" s="4"/>
      <c r="B20" s="23" t="s">
        <v>2</v>
      </c>
      <c r="C20" s="23" t="s">
        <v>3</v>
      </c>
      <c r="D20" s="3"/>
      <c r="S20" s="35" t="s">
        <v>18</v>
      </c>
    </row>
    <row r="21" spans="1:4" ht="15.75" customHeight="1">
      <c r="A21" s="24" t="s">
        <v>34</v>
      </c>
      <c r="B21" s="27">
        <v>235</v>
      </c>
      <c r="C21" s="27">
        <v>255</v>
      </c>
      <c r="D21" s="3"/>
    </row>
    <row r="22" spans="1:4" ht="15.75" customHeight="1">
      <c r="A22" s="24" t="s">
        <v>35</v>
      </c>
      <c r="B22" s="27">
        <v>40</v>
      </c>
      <c r="C22" s="27">
        <v>40</v>
      </c>
      <c r="D22" s="3"/>
    </row>
    <row r="23" spans="1:4" ht="15.75" customHeight="1">
      <c r="A23" s="24" t="s">
        <v>36</v>
      </c>
      <c r="B23" s="27">
        <v>17</v>
      </c>
      <c r="C23" s="27">
        <v>17</v>
      </c>
      <c r="D23" s="3"/>
    </row>
    <row r="24" spans="1:20" ht="15.75" customHeight="1">
      <c r="A24" s="24" t="s">
        <v>33</v>
      </c>
      <c r="B24" s="28">
        <f>(B21*(B22*0.01)/25.4*2)+B23</f>
        <v>24.401574803149607</v>
      </c>
      <c r="C24" s="28">
        <f>(C21*(C22*0.01)/25.4*2)+C23</f>
        <v>25.031496062992126</v>
      </c>
      <c r="D24" s="3"/>
      <c r="R24" s="39" t="s">
        <v>48</v>
      </c>
      <c r="S24" s="39"/>
      <c r="T24" s="39"/>
    </row>
    <row r="25" spans="1:20" ht="15.75" customHeight="1">
      <c r="A25" s="4"/>
      <c r="B25" s="3"/>
      <c r="C25" s="3"/>
      <c r="R25" s="36" t="s">
        <v>46</v>
      </c>
      <c r="S25" s="36" t="s">
        <v>47</v>
      </c>
      <c r="T25" s="36" t="s">
        <v>38</v>
      </c>
    </row>
    <row r="26" spans="1:20" ht="15.75" customHeight="1">
      <c r="A26" s="4" t="s">
        <v>10</v>
      </c>
      <c r="B26" s="3"/>
      <c r="C26" s="3"/>
      <c r="R26" s="1">
        <v>0</v>
      </c>
      <c r="S26" s="1">
        <v>120</v>
      </c>
      <c r="T26" s="1">
        <v>0.5</v>
      </c>
    </row>
    <row r="27" spans="1:20" ht="15.75" customHeight="1">
      <c r="A27" s="9"/>
      <c r="B27" s="23" t="s">
        <v>2</v>
      </c>
      <c r="C27" s="23" t="s">
        <v>3</v>
      </c>
      <c r="D27" s="3"/>
      <c r="R27" s="38">
        <f>AVERAGE(R26,R28)</f>
        <v>0.5</v>
      </c>
      <c r="S27" s="38">
        <f>AVERAGE(S26,S28)</f>
        <v>180</v>
      </c>
      <c r="T27" s="38">
        <f>AVERAGE(T26,T28)</f>
        <v>0.5</v>
      </c>
    </row>
    <row r="28" spans="1:20" ht="15.75" customHeight="1">
      <c r="A28" s="29" t="s">
        <v>30</v>
      </c>
      <c r="B28" s="30">
        <v>1.38</v>
      </c>
      <c r="C28" s="30">
        <v>1.12</v>
      </c>
      <c r="D28" s="9"/>
      <c r="R28" s="1">
        <v>1</v>
      </c>
      <c r="S28" s="1">
        <v>240</v>
      </c>
      <c r="T28" s="1">
        <v>0.5</v>
      </c>
    </row>
    <row r="29" spans="1:20" ht="15.75" customHeight="1">
      <c r="A29" s="29" t="s">
        <v>31</v>
      </c>
      <c r="B29" s="25">
        <v>1.38</v>
      </c>
      <c r="C29" s="25">
        <v>1.12</v>
      </c>
      <c r="D29" s="10"/>
      <c r="R29" s="38">
        <f>AVERAGE(R28,R30)</f>
        <v>1.5</v>
      </c>
      <c r="S29" s="38">
        <f>AVERAGE(S28,S30)</f>
        <v>300</v>
      </c>
      <c r="T29" s="38">
        <f>AVERAGE(T28,T30)</f>
        <v>0.5</v>
      </c>
    </row>
    <row r="30" spans="1:20" ht="15.75" customHeight="1">
      <c r="A30" s="29" t="s">
        <v>32</v>
      </c>
      <c r="B30" s="25">
        <v>0</v>
      </c>
      <c r="C30" s="25">
        <v>0</v>
      </c>
      <c r="D30" s="10"/>
      <c r="R30" s="1">
        <v>2</v>
      </c>
      <c r="S30" s="1">
        <v>360</v>
      </c>
      <c r="T30" s="1">
        <v>0.5</v>
      </c>
    </row>
    <row r="31" spans="1:20" ht="15.75" customHeight="1">
      <c r="A31" s="29" t="s">
        <v>40</v>
      </c>
      <c r="B31" s="31">
        <f>SUM(($B$28/2)^2*3.1416+($B$29/2)^2*3.1416+($B$30/2)^2*3.1416)</f>
        <v>2.9914315199999995</v>
      </c>
      <c r="C31" s="31">
        <f>SUM(($C$28/2)^2*3.1416+($C$29/2)^2*3.1416+($C$30/2)^2*3.1416)</f>
        <v>1.9704115200000003</v>
      </c>
      <c r="D31" s="10"/>
      <c r="R31" s="38">
        <f>AVERAGE(R30,R32)</f>
        <v>2.5</v>
      </c>
      <c r="S31" s="38">
        <f>AVERAGE(S30,S32)</f>
        <v>420</v>
      </c>
      <c r="T31" s="38">
        <f>AVERAGE(T30,T32)</f>
        <v>0.5</v>
      </c>
    </row>
    <row r="32" spans="1:20" ht="15.75" customHeight="1">
      <c r="A32" s="29" t="s">
        <v>13</v>
      </c>
      <c r="B32" s="25">
        <v>12.19</v>
      </c>
      <c r="C32" s="25">
        <v>12.19</v>
      </c>
      <c r="D32" s="10"/>
      <c r="R32" s="1">
        <v>3</v>
      </c>
      <c r="S32" s="1">
        <v>480</v>
      </c>
      <c r="T32" s="1">
        <v>0.5</v>
      </c>
    </row>
    <row r="33" spans="1:20" ht="15.75">
      <c r="A33" s="29" t="s">
        <v>14</v>
      </c>
      <c r="B33" s="25">
        <v>1.6</v>
      </c>
      <c r="C33" s="25">
        <v>1.6</v>
      </c>
      <c r="D33" s="10"/>
      <c r="R33" s="38">
        <f>AVERAGE(R32,R34)</f>
        <v>3.5</v>
      </c>
      <c r="S33" s="38">
        <f>AVERAGE(S32,S34)</f>
        <v>540</v>
      </c>
      <c r="T33" s="38">
        <f>AVERAGE(T32,T34)</f>
        <v>0.5</v>
      </c>
    </row>
    <row r="34" spans="1:20" ht="15.75">
      <c r="A34" s="29" t="s">
        <v>15</v>
      </c>
      <c r="B34" s="25">
        <v>0.55</v>
      </c>
      <c r="C34" s="25">
        <v>0.55</v>
      </c>
      <c r="D34" s="10"/>
      <c r="R34" s="1">
        <v>4</v>
      </c>
      <c r="S34" s="14">
        <v>600</v>
      </c>
      <c r="T34" s="14">
        <v>0.5</v>
      </c>
    </row>
    <row r="35" ht="15.75">
      <c r="D35" s="10"/>
    </row>
    <row r="36" spans="1:20" s="14" customFormat="1" ht="18">
      <c r="A36" s="42" t="s">
        <v>19</v>
      </c>
      <c r="B36" s="43"/>
      <c r="C36" s="43"/>
      <c r="D36" s="15"/>
      <c r="R36" s="1"/>
      <c r="S36" s="1"/>
      <c r="T36" s="1"/>
    </row>
    <row r="37" spans="1:4" ht="15.75">
      <c r="A37" s="13" t="s">
        <v>20</v>
      </c>
      <c r="B37" s="45" t="s">
        <v>17</v>
      </c>
      <c r="C37" s="45"/>
      <c r="D37" s="10"/>
    </row>
    <row r="38" spans="1:4" ht="15.75">
      <c r="A38" s="13" t="s">
        <v>37</v>
      </c>
      <c r="B38" s="46">
        <f>IF($B$37="turbo",853,IF($B$37="NA",427,IF($B$37="adjustable",B41,"")))</f>
        <v>427</v>
      </c>
      <c r="C38" s="46"/>
      <c r="D38" s="10"/>
    </row>
    <row r="39" spans="1:4" ht="15.75">
      <c r="A39" s="13" t="s">
        <v>38</v>
      </c>
      <c r="B39" s="46">
        <f>IF($B$37="turbo",0.6,IF($B$37="NA",0.6,IF($B$37="adjustable",B42,"")))</f>
        <v>0.6</v>
      </c>
      <c r="C39" s="46"/>
      <c r="D39" s="10"/>
    </row>
    <row r="40" spans="1:15" ht="15.75">
      <c r="A40" s="13" t="s">
        <v>50</v>
      </c>
      <c r="B40" s="47">
        <v>2</v>
      </c>
      <c r="C40" s="48"/>
      <c r="D40" s="10"/>
      <c r="O40" s="35"/>
    </row>
    <row r="41" spans="1:20" ht="15.75" hidden="1">
      <c r="A41" s="13" t="s">
        <v>39</v>
      </c>
      <c r="B41" s="40">
        <f>VLOOKUP(B40,R26:S34,2)</f>
        <v>360</v>
      </c>
      <c r="C41" s="41"/>
      <c r="R41" s="14"/>
      <c r="T41" s="14"/>
    </row>
    <row r="42" spans="1:3" ht="15.75" hidden="1">
      <c r="A42" s="13" t="s">
        <v>23</v>
      </c>
      <c r="B42" s="40">
        <f>VLOOKUP(B40,R26:T34,3)</f>
        <v>0.5</v>
      </c>
      <c r="C42" s="41"/>
    </row>
    <row r="43" ht="12.75"/>
    <row r="44" ht="12.75"/>
    <row r="45" ht="12.75"/>
    <row r="46" spans="2:19" s="14" customFormat="1" ht="18">
      <c r="B46" s="32" t="s">
        <v>21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O46" s="32"/>
      <c r="Q46" s="1"/>
      <c r="R46" s="1"/>
      <c r="S46" s="1"/>
    </row>
    <row r="47" spans="2:19" s="14" customFormat="1" ht="33.75">
      <c r="B47" s="19" t="s">
        <v>43</v>
      </c>
      <c r="C47" s="19" t="s">
        <v>44</v>
      </c>
      <c r="D47" s="19" t="s">
        <v>45</v>
      </c>
      <c r="E47" s="19" t="s">
        <v>29</v>
      </c>
      <c r="F47" s="19" t="s">
        <v>28</v>
      </c>
      <c r="G47" s="19" t="s">
        <v>9</v>
      </c>
      <c r="H47" s="19" t="s">
        <v>24</v>
      </c>
      <c r="I47" s="19" t="s">
        <v>25</v>
      </c>
      <c r="J47" s="19" t="s">
        <v>26</v>
      </c>
      <c r="K47" s="19" t="s">
        <v>27</v>
      </c>
      <c r="L47" s="19" t="s">
        <v>11</v>
      </c>
      <c r="M47" s="19" t="s">
        <v>12</v>
      </c>
      <c r="N47" s="33" t="s">
        <v>41</v>
      </c>
      <c r="O47" s="33" t="s">
        <v>22</v>
      </c>
      <c r="Q47" s="1"/>
      <c r="R47" s="1"/>
      <c r="S47" s="1"/>
    </row>
    <row r="48" spans="2:19" s="14" customFormat="1" ht="15.75">
      <c r="B48" s="16">
        <v>0.4</v>
      </c>
      <c r="C48" s="17">
        <f aca="true" t="shared" si="0" ref="C48:C58">($B$16*$B$17/$B$18)*$B48+$B$14</f>
        <v>1488.5714285714287</v>
      </c>
      <c r="D48" s="17">
        <f aca="true" t="shared" si="1" ref="D48:D58">$B$16-$C48</f>
        <v>1511.4285714285713</v>
      </c>
      <c r="E48" s="17">
        <f aca="true" t="shared" si="2" ref="E48:E58">$C48*($B$24/2)*$B48</f>
        <v>7264.697412823399</v>
      </c>
      <c r="F48" s="17">
        <f aca="true" t="shared" si="3" ref="F48:F58">$D48*($C$24/2)*$B48</f>
        <v>7566.663667041619</v>
      </c>
      <c r="G48" s="18">
        <f aca="true" t="shared" si="4" ref="G48:G58">$E48/($E48+$F48)</f>
        <v>0.48982000867647374</v>
      </c>
      <c r="H48" s="20">
        <f>IF(J48&lt;E48,H48+1,IF(J48&gt;E48,H48-1,H48))</f>
        <v>208</v>
      </c>
      <c r="I48" s="20">
        <f>IF($H48&lt;=$B$38,$H48,$B$38+($H48-$B$38)*$B$39)</f>
        <v>208</v>
      </c>
      <c r="J48" s="20">
        <f>(H48*$B$31*$B$34*($B$32/2-$B$33/2))*2*2</f>
        <v>7248.21464150784</v>
      </c>
      <c r="K48" s="20">
        <f>(I48*$C$31*$C$34*($C$32/2-$C$33/2))*2*2</f>
        <v>4774.291349667841</v>
      </c>
      <c r="L48" s="18">
        <f>(J48/(J48+K48))</f>
        <v>0.6028871723439281</v>
      </c>
      <c r="M48" s="21">
        <f aca="true" t="shared" si="5" ref="M48:M58">L48-G48</f>
        <v>0.11306716366745434</v>
      </c>
      <c r="N48" s="34">
        <f aca="true" t="shared" si="6" ref="N48:N58">G48+7%</f>
        <v>0.5598200086764737</v>
      </c>
      <c r="O48" s="34">
        <v>1</v>
      </c>
      <c r="Q48" s="1"/>
      <c r="R48" s="1"/>
      <c r="S48" s="1"/>
    </row>
    <row r="49" spans="2:19" s="14" customFormat="1" ht="15.75">
      <c r="B49" s="16">
        <v>0.5</v>
      </c>
      <c r="C49" s="17">
        <f t="shared" si="0"/>
        <v>1545.7142857142858</v>
      </c>
      <c r="D49" s="17">
        <f t="shared" si="1"/>
        <v>1454.2857142857142</v>
      </c>
      <c r="E49" s="17">
        <f t="shared" si="2"/>
        <v>9429.465691788528</v>
      </c>
      <c r="F49" s="17">
        <f t="shared" si="3"/>
        <v>9100.736782902137</v>
      </c>
      <c r="G49" s="18">
        <f t="shared" si="4"/>
        <v>0.5088700841055402</v>
      </c>
      <c r="H49" s="20">
        <f aca="true" t="shared" si="7" ref="H49:H58">IF(J49&lt;E49,H49+1,IF(J49&gt;E49,H49-1,H49))</f>
        <v>270</v>
      </c>
      <c r="I49" s="20">
        <f aca="true" t="shared" si="8" ref="I49:I58">IF($H49&lt;=$B$38,$H49,$B$38+($H49-$B$38)*$B$39)</f>
        <v>270</v>
      </c>
      <c r="J49" s="20">
        <f aca="true" t="shared" si="9" ref="J49:J58">(H49*$B$31*$B$34*($B$32/2-$B$33/2))*2*2</f>
        <v>9408.740159649598</v>
      </c>
      <c r="K49" s="20">
        <f aca="true" t="shared" si="10" ref="K49:K58">(I49*$C$31*$C$34*($C$32/2-$C$33/2))*2*2</f>
        <v>6197.397425049602</v>
      </c>
      <c r="L49" s="18">
        <f aca="true" t="shared" si="11" ref="L49:L58">(J49/(J49+K49))</f>
        <v>0.602887172343928</v>
      </c>
      <c r="M49" s="21">
        <f t="shared" si="5"/>
        <v>0.09401708823838772</v>
      </c>
      <c r="N49" s="34">
        <f t="shared" si="6"/>
        <v>0.5788700841055403</v>
      </c>
      <c r="O49" s="34">
        <v>1</v>
      </c>
      <c r="Q49" s="1"/>
      <c r="R49" s="1"/>
      <c r="S49" s="1"/>
    </row>
    <row r="50" spans="2:15" s="14" customFormat="1" ht="15.75">
      <c r="B50" s="16">
        <v>0.6</v>
      </c>
      <c r="C50" s="17">
        <f t="shared" si="0"/>
        <v>1602.857142857143</v>
      </c>
      <c r="D50" s="17">
        <f t="shared" si="1"/>
        <v>1397.142857142857</v>
      </c>
      <c r="E50" s="17">
        <f t="shared" si="2"/>
        <v>11733.671541057369</v>
      </c>
      <c r="F50" s="17">
        <f t="shared" si="3"/>
        <v>10491.7727784027</v>
      </c>
      <c r="G50" s="18">
        <f t="shared" si="4"/>
        <v>0.5279386712095401</v>
      </c>
      <c r="H50" s="20">
        <f t="shared" si="7"/>
        <v>336</v>
      </c>
      <c r="I50" s="20">
        <f t="shared" si="8"/>
        <v>336</v>
      </c>
      <c r="J50" s="20">
        <f t="shared" si="9"/>
        <v>11708.654420897277</v>
      </c>
      <c r="K50" s="20">
        <f t="shared" si="10"/>
        <v>7712.316795617281</v>
      </c>
      <c r="L50" s="18">
        <f t="shared" si="11"/>
        <v>0.602887172343928</v>
      </c>
      <c r="M50" s="21">
        <f t="shared" si="5"/>
        <v>0.07494850113438789</v>
      </c>
      <c r="N50" s="34">
        <f t="shared" si="6"/>
        <v>0.59793867120954</v>
      </c>
      <c r="O50" s="34">
        <v>1</v>
      </c>
    </row>
    <row r="51" spans="2:15" s="14" customFormat="1" ht="15.75">
      <c r="B51" s="16">
        <v>0.7</v>
      </c>
      <c r="C51" s="17">
        <f t="shared" si="0"/>
        <v>1660</v>
      </c>
      <c r="D51" s="17">
        <f t="shared" si="1"/>
        <v>1340</v>
      </c>
      <c r="E51" s="17">
        <f t="shared" si="2"/>
        <v>14177.314960629921</v>
      </c>
      <c r="F51" s="17">
        <f t="shared" si="3"/>
        <v>11739.771653543306</v>
      </c>
      <c r="G51" s="18">
        <f t="shared" si="4"/>
        <v>0.5470257969843262</v>
      </c>
      <c r="H51" s="20">
        <f t="shared" si="7"/>
        <v>406</v>
      </c>
      <c r="I51" s="20">
        <f t="shared" si="8"/>
        <v>406</v>
      </c>
      <c r="J51" s="20">
        <f t="shared" si="9"/>
        <v>14147.957425250877</v>
      </c>
      <c r="K51" s="20">
        <f t="shared" si="10"/>
        <v>9319.049461370882</v>
      </c>
      <c r="L51" s="18">
        <f t="shared" si="11"/>
        <v>0.602887172343928</v>
      </c>
      <c r="M51" s="21">
        <f t="shared" si="5"/>
        <v>0.055861375359601784</v>
      </c>
      <c r="N51" s="34">
        <f t="shared" si="6"/>
        <v>0.6170257969843262</v>
      </c>
      <c r="O51" s="34">
        <v>1</v>
      </c>
    </row>
    <row r="52" spans="2:15" s="14" customFormat="1" ht="15.75">
      <c r="B52" s="16">
        <v>0.8</v>
      </c>
      <c r="C52" s="17">
        <f t="shared" si="0"/>
        <v>1717.142857142857</v>
      </c>
      <c r="D52" s="17">
        <f t="shared" si="1"/>
        <v>1282.857142857143</v>
      </c>
      <c r="E52" s="17">
        <f t="shared" si="2"/>
        <v>16760.39595050619</v>
      </c>
      <c r="F52" s="17">
        <f t="shared" si="3"/>
        <v>12844.73340832396</v>
      </c>
      <c r="G52" s="18">
        <f t="shared" si="4"/>
        <v>0.5661314884782682</v>
      </c>
      <c r="H52" s="20">
        <f t="shared" si="7"/>
        <v>480</v>
      </c>
      <c r="I52" s="20">
        <f t="shared" si="8"/>
        <v>458.8</v>
      </c>
      <c r="J52" s="20">
        <f t="shared" si="9"/>
        <v>16726.649172710397</v>
      </c>
      <c r="K52" s="20">
        <f t="shared" si="10"/>
        <v>10530.984957825027</v>
      </c>
      <c r="L52" s="18">
        <f t="shared" si="11"/>
        <v>0.6136500729523086</v>
      </c>
      <c r="M52" s="21">
        <f t="shared" si="5"/>
        <v>0.04751858447404034</v>
      </c>
      <c r="N52" s="34">
        <f t="shared" si="6"/>
        <v>0.6361314884782683</v>
      </c>
      <c r="O52" s="34">
        <v>1</v>
      </c>
    </row>
    <row r="53" spans="2:15" s="14" customFormat="1" ht="15.75">
      <c r="B53" s="16">
        <v>0.9</v>
      </c>
      <c r="C53" s="17">
        <f t="shared" si="0"/>
        <v>1774.2857142857142</v>
      </c>
      <c r="D53" s="17">
        <f t="shared" si="1"/>
        <v>1225.7142857142858</v>
      </c>
      <c r="E53" s="17">
        <f t="shared" si="2"/>
        <v>19482.914510686165</v>
      </c>
      <c r="F53" s="17">
        <f t="shared" si="3"/>
        <v>13806.658042744657</v>
      </c>
      <c r="G53" s="18">
        <f t="shared" si="4"/>
        <v>0.5852557727923802</v>
      </c>
      <c r="H53" s="20">
        <f t="shared" si="7"/>
        <v>560</v>
      </c>
      <c r="I53" s="20">
        <f t="shared" si="8"/>
        <v>506.8</v>
      </c>
      <c r="J53" s="20">
        <f t="shared" si="9"/>
        <v>19514.4240348288</v>
      </c>
      <c r="K53" s="20">
        <f t="shared" si="10"/>
        <v>11632.744500056067</v>
      </c>
      <c r="L53" s="18">
        <f t="shared" si="11"/>
        <v>0.6265232107044536</v>
      </c>
      <c r="M53" s="21">
        <f t="shared" si="5"/>
        <v>0.041267437912073435</v>
      </c>
      <c r="N53" s="34">
        <f t="shared" si="6"/>
        <v>0.6552557727923802</v>
      </c>
      <c r="O53" s="34">
        <v>1</v>
      </c>
    </row>
    <row r="54" spans="2:15" s="14" customFormat="1" ht="15.75">
      <c r="B54" s="16">
        <v>1</v>
      </c>
      <c r="C54" s="17">
        <f t="shared" si="0"/>
        <v>1831.4285714285716</v>
      </c>
      <c r="D54" s="17">
        <f t="shared" si="1"/>
        <v>1168.5714285714284</v>
      </c>
      <c r="E54" s="17">
        <f t="shared" si="2"/>
        <v>22344.870641169855</v>
      </c>
      <c r="F54" s="17">
        <f t="shared" si="3"/>
        <v>14625.545556805399</v>
      </c>
      <c r="G54" s="18">
        <f t="shared" si="4"/>
        <v>0.6043986770804493</v>
      </c>
      <c r="H54" s="20">
        <f t="shared" si="7"/>
        <v>642</v>
      </c>
      <c r="I54" s="20">
        <f t="shared" si="8"/>
        <v>556</v>
      </c>
      <c r="J54" s="20">
        <f t="shared" si="9"/>
        <v>22371.893268500156</v>
      </c>
      <c r="K54" s="20">
        <f t="shared" si="10"/>
        <v>12762.048030842883</v>
      </c>
      <c r="L54" s="18">
        <f t="shared" si="11"/>
        <v>0.6367601368115932</v>
      </c>
      <c r="M54" s="21">
        <f t="shared" si="5"/>
        <v>0.032361459731143905</v>
      </c>
      <c r="N54" s="34">
        <f t="shared" si="6"/>
        <v>0.6743986770804493</v>
      </c>
      <c r="O54" s="34">
        <v>1</v>
      </c>
    </row>
    <row r="55" spans="2:15" s="14" customFormat="1" ht="15.75">
      <c r="B55" s="16">
        <v>1.1</v>
      </c>
      <c r="C55" s="17">
        <f t="shared" si="0"/>
        <v>1888.5714285714287</v>
      </c>
      <c r="D55" s="17">
        <f t="shared" si="1"/>
        <v>1111.4285714285713</v>
      </c>
      <c r="E55" s="17">
        <f t="shared" si="2"/>
        <v>25346.26434195726</v>
      </c>
      <c r="F55" s="17">
        <f t="shared" si="3"/>
        <v>15301.395950506187</v>
      </c>
      <c r="G55" s="18">
        <f t="shared" si="4"/>
        <v>0.6235602285491634</v>
      </c>
      <c r="H55" s="20">
        <f t="shared" si="7"/>
        <v>728</v>
      </c>
      <c r="I55" s="20">
        <f t="shared" si="8"/>
        <v>607.6</v>
      </c>
      <c r="J55" s="20">
        <f t="shared" si="9"/>
        <v>25368.75124527744</v>
      </c>
      <c r="K55" s="20">
        <f t="shared" si="10"/>
        <v>13946.439538741251</v>
      </c>
      <c r="L55" s="18">
        <f t="shared" si="11"/>
        <v>0.6452658816955209</v>
      </c>
      <c r="M55" s="21">
        <f t="shared" si="5"/>
        <v>0.02170565314635753</v>
      </c>
      <c r="N55" s="34">
        <f t="shared" si="6"/>
        <v>0.6935602285491633</v>
      </c>
      <c r="O55" s="34">
        <v>1</v>
      </c>
    </row>
    <row r="56" spans="2:15" s="14" customFormat="1" ht="15.75">
      <c r="B56" s="16">
        <v>1.2</v>
      </c>
      <c r="C56" s="17">
        <f t="shared" si="0"/>
        <v>1945.7142857142858</v>
      </c>
      <c r="D56" s="17">
        <f t="shared" si="1"/>
        <v>1054.2857142857142</v>
      </c>
      <c r="E56" s="17">
        <f t="shared" si="2"/>
        <v>28487.09561304837</v>
      </c>
      <c r="F56" s="17">
        <f t="shared" si="3"/>
        <v>15834.209223847018</v>
      </c>
      <c r="G56" s="18">
        <f t="shared" si="4"/>
        <v>0.6427404544582408</v>
      </c>
      <c r="H56" s="20">
        <f t="shared" si="7"/>
        <v>818</v>
      </c>
      <c r="I56" s="20">
        <f t="shared" si="8"/>
        <v>661.6</v>
      </c>
      <c r="J56" s="20">
        <f t="shared" si="9"/>
        <v>28504.997965160637</v>
      </c>
      <c r="K56" s="20">
        <f t="shared" si="10"/>
        <v>15185.919023751172</v>
      </c>
      <c r="L56" s="18">
        <f t="shared" si="11"/>
        <v>0.6524238887546087</v>
      </c>
      <c r="M56" s="21">
        <f t="shared" si="5"/>
        <v>0.009683434296367865</v>
      </c>
      <c r="N56" s="34">
        <f t="shared" si="6"/>
        <v>0.7127404544582407</v>
      </c>
      <c r="O56" s="34">
        <v>1</v>
      </c>
    </row>
    <row r="57" spans="2:15" s="14" customFormat="1" ht="15.75">
      <c r="B57" s="16">
        <v>1.3</v>
      </c>
      <c r="C57" s="17">
        <f t="shared" si="0"/>
        <v>2002.857142857143</v>
      </c>
      <c r="D57" s="17">
        <f t="shared" si="1"/>
        <v>997.1428571428571</v>
      </c>
      <c r="E57" s="17">
        <f t="shared" si="2"/>
        <v>31767.364454443195</v>
      </c>
      <c r="F57" s="17">
        <f t="shared" si="3"/>
        <v>16223.985376827897</v>
      </c>
      <c r="G57" s="18">
        <f t="shared" si="4"/>
        <v>0.6619393821205592</v>
      </c>
      <c r="H57" s="20">
        <f t="shared" si="7"/>
        <v>912</v>
      </c>
      <c r="I57" s="20">
        <f t="shared" si="8"/>
        <v>718</v>
      </c>
      <c r="J57" s="20">
        <f t="shared" si="9"/>
        <v>31780.633428149755</v>
      </c>
      <c r="K57" s="20">
        <f t="shared" si="10"/>
        <v>16480.486485872643</v>
      </c>
      <c r="L57" s="18">
        <f t="shared" si="11"/>
        <v>0.6585142136106089</v>
      </c>
      <c r="M57" s="21">
        <f t="shared" si="5"/>
        <v>-0.003425168509950338</v>
      </c>
      <c r="N57" s="34">
        <f t="shared" si="6"/>
        <v>0.7319393821205593</v>
      </c>
      <c r="O57" s="34">
        <v>1</v>
      </c>
    </row>
    <row r="58" spans="2:15" s="14" customFormat="1" ht="15.75">
      <c r="B58" s="16">
        <v>1.4</v>
      </c>
      <c r="C58" s="17">
        <f t="shared" si="0"/>
        <v>2060</v>
      </c>
      <c r="D58" s="17">
        <f t="shared" si="1"/>
        <v>940</v>
      </c>
      <c r="E58" s="17">
        <f t="shared" si="2"/>
        <v>35187.07086614173</v>
      </c>
      <c r="F58" s="17">
        <f t="shared" si="3"/>
        <v>16470.72440944882</v>
      </c>
      <c r="G58" s="18">
        <f t="shared" si="4"/>
        <v>0.6811570389022854</v>
      </c>
      <c r="H58" s="20">
        <f t="shared" si="7"/>
        <v>1010</v>
      </c>
      <c r="I58" s="20">
        <f t="shared" si="8"/>
        <v>776.8</v>
      </c>
      <c r="J58" s="20">
        <f t="shared" si="9"/>
        <v>35195.657634244795</v>
      </c>
      <c r="K58" s="20">
        <f t="shared" si="10"/>
        <v>17830.14192510567</v>
      </c>
      <c r="L58" s="18">
        <f t="shared" si="11"/>
        <v>0.6637459109852963</v>
      </c>
      <c r="M58" s="21">
        <f t="shared" si="5"/>
        <v>-0.017411127916989066</v>
      </c>
      <c r="N58" s="34">
        <f t="shared" si="6"/>
        <v>0.7511570389022855</v>
      </c>
      <c r="O58" s="34">
        <v>1</v>
      </c>
    </row>
    <row r="59" s="14" customFormat="1" ht="12.75"/>
    <row r="60" spans="17:19" ht="12.75">
      <c r="Q60" s="14"/>
      <c r="R60" s="14"/>
      <c r="S60" s="14"/>
    </row>
    <row r="61" spans="17:19" ht="12.75">
      <c r="Q61" s="14"/>
      <c r="R61" s="14"/>
      <c r="S61" s="14"/>
    </row>
    <row r="62" spans="17:19" ht="12.75">
      <c r="Q62" s="14"/>
      <c r="R62" s="14"/>
      <c r="S62" s="14"/>
    </row>
    <row r="63" spans="17:19" ht="12.75">
      <c r="Q63" s="14"/>
      <c r="R63" s="14"/>
      <c r="S63" s="14"/>
    </row>
  </sheetData>
  <sheetProtection sheet="1"/>
  <mergeCells count="9">
    <mergeCell ref="R24:T24"/>
    <mergeCell ref="B42:C42"/>
    <mergeCell ref="B41:C41"/>
    <mergeCell ref="A36:C36"/>
    <mergeCell ref="A2:E10"/>
    <mergeCell ref="B37:C37"/>
    <mergeCell ref="B38:C38"/>
    <mergeCell ref="B39:C39"/>
    <mergeCell ref="B40:C40"/>
  </mergeCells>
  <conditionalFormatting sqref="M48:M5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list" allowBlank="1" showInputMessage="1" showErrorMessage="1" sqref="B40">
      <formula1>$R$26:$R$34</formula1>
    </dataValidation>
    <dataValidation type="list" allowBlank="1" showInputMessage="1" showErrorMessage="1" sqref="B37:C37">
      <formula1>$S$18:$S$20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2020-02-16T23:12:38Z</dcterms:created>
  <dcterms:modified xsi:type="dcterms:W3CDTF">2020-03-09T02:36:48Z</dcterms:modified>
  <cp:category/>
  <cp:version/>
  <cp:contentType/>
  <cp:contentStatus/>
</cp:coreProperties>
</file>